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4740" windowHeight="6390" activeTab="0"/>
  </bookViews>
  <sheets>
    <sheet name="Calcolo frazione coperta" sheetId="1" r:id="rId1"/>
  </sheets>
  <definedNames>
    <definedName name="acqua_calda_sanitaria">#REF!</definedName>
    <definedName name="Incentivo_pannello">#REF!</definedName>
    <definedName name="Tipologia_pannello">#REF!</definedName>
  </definedNames>
  <calcPr fullCalcOnLoad="1"/>
</workbook>
</file>

<file path=xl/sharedStrings.xml><?xml version="1.0" encoding="utf-8"?>
<sst xmlns="http://schemas.openxmlformats.org/spreadsheetml/2006/main" count="100" uniqueCount="66">
  <si>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</si>
  <si>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</si>
  <si>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</si>
  <si>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</si>
  <si>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</si>
  <si>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</si>
  <si>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</si>
  <si>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</si>
  <si>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</si>
  <si>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</si>
  <si>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</si>
  <si>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</si>
  <si>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</t>
  </si>
  <si>
    <t>X</t>
  </si>
  <si>
    <t>Y</t>
  </si>
  <si>
    <t>Calcolo irraggiamento su piano orizzontale e inclinato (UNI 10349 - 8477)</t>
  </si>
  <si>
    <t>Località: Reggio Calabria      Latitudine 38°10.5'  Nord      Longitudine 15°40.2' E</t>
  </si>
  <si>
    <t>MESI</t>
  </si>
  <si>
    <t xml:space="preserve">TEMPERATURA MEDIA DIURNA </t>
  </si>
  <si>
    <t>IRRAGGIAMENTO</t>
  </si>
  <si>
    <t>°C</t>
  </si>
  <si>
    <r>
      <t>MJ/m</t>
    </r>
    <r>
      <rPr>
        <vertAlign val="superscript"/>
        <sz val="11"/>
        <color indexed="8"/>
        <rFont val="Calibri"/>
        <family val="2"/>
      </rPr>
      <t>2</t>
    </r>
  </si>
  <si>
    <r>
      <t>kWh/m</t>
    </r>
    <r>
      <rPr>
        <vertAlign val="superscript"/>
        <sz val="11"/>
        <color indexed="8"/>
        <rFont val="Calibri"/>
        <family val="2"/>
      </rPr>
      <t>2</t>
    </r>
  </si>
  <si>
    <t>Piano Orizzontale</t>
  </si>
  <si>
    <t>Azimut</t>
  </si>
  <si>
    <t>Tilt</t>
  </si>
  <si>
    <t xml:space="preserve">OTTOBRE </t>
  </si>
  <si>
    <t>Temp. Media diurna</t>
  </si>
  <si>
    <t xml:space="preserve">AGOSTO </t>
  </si>
  <si>
    <t>f</t>
  </si>
  <si>
    <r>
      <rPr>
        <b/>
        <sz val="11"/>
        <color indexed="56"/>
        <rFont val="Calibri"/>
        <family val="2"/>
      </rPr>
      <t>τ</t>
    </r>
    <r>
      <rPr>
        <b/>
        <sz val="11"/>
        <color indexed="56"/>
        <rFont val="Calibri"/>
        <family val="2"/>
      </rPr>
      <t>α</t>
    </r>
  </si>
  <si>
    <r>
      <t>f</t>
    </r>
    <r>
      <rPr>
        <b/>
        <i/>
        <vertAlign val="subscript"/>
        <sz val="11"/>
        <color indexed="56"/>
        <rFont val="Calibri"/>
        <family val="2"/>
      </rPr>
      <t>ann</t>
    </r>
  </si>
  <si>
    <t>Differenza</t>
  </si>
  <si>
    <t>Irraggiamento Medio giornaliero</t>
  </si>
  <si>
    <t>Irraggiamento Medio annuo</t>
  </si>
  <si>
    <r>
      <t>S (m</t>
    </r>
    <r>
      <rPr>
        <b/>
        <vertAlign val="superscript"/>
        <sz val="11"/>
        <color indexed="56"/>
        <rFont val="Calibri"/>
        <family val="2"/>
      </rPr>
      <t>2</t>
    </r>
    <r>
      <rPr>
        <b/>
        <sz val="11"/>
        <color indexed="56"/>
        <rFont val="Calibri"/>
        <family val="2"/>
      </rPr>
      <t>)</t>
    </r>
  </si>
  <si>
    <r>
      <t>U (W/m</t>
    </r>
    <r>
      <rPr>
        <b/>
        <vertAlign val="superscript"/>
        <sz val="11"/>
        <color indexed="56"/>
        <rFont val="Calibri"/>
        <family val="2"/>
      </rPr>
      <t>2</t>
    </r>
    <r>
      <rPr>
        <b/>
        <sz val="11"/>
        <color indexed="56"/>
        <rFont val="Calibri"/>
        <family val="2"/>
      </rPr>
      <t>K)</t>
    </r>
  </si>
  <si>
    <r>
      <t>t</t>
    </r>
    <r>
      <rPr>
        <b/>
        <vertAlign val="subscript"/>
        <sz val="11"/>
        <color indexed="56"/>
        <rFont val="Calibri"/>
        <family val="2"/>
      </rPr>
      <t xml:space="preserve">a </t>
    </r>
    <r>
      <rPr>
        <b/>
        <sz val="11"/>
        <color indexed="56"/>
        <rFont val="Calibri"/>
        <family val="2"/>
      </rPr>
      <t>(°C)</t>
    </r>
  </si>
  <si>
    <r>
      <t>n</t>
    </r>
    <r>
      <rPr>
        <b/>
        <vertAlign val="subscript"/>
        <sz val="11"/>
        <color indexed="56"/>
        <rFont val="Calibri"/>
        <family val="2"/>
      </rPr>
      <t xml:space="preserve">g </t>
    </r>
    <r>
      <rPr>
        <b/>
        <sz val="11"/>
        <color indexed="56"/>
        <rFont val="Calibri"/>
        <family val="2"/>
      </rPr>
      <t>(g)</t>
    </r>
  </si>
  <si>
    <t>Numero di persone in famiglia</t>
  </si>
  <si>
    <t>STIMA FABBISOGNO TERMICO</t>
  </si>
  <si>
    <r>
      <t>V</t>
    </r>
    <r>
      <rPr>
        <i/>
        <vertAlign val="subscript"/>
        <sz val="11"/>
        <color indexed="8"/>
        <rFont val="Calibri"/>
        <family val="2"/>
      </rPr>
      <t>w,i</t>
    </r>
    <r>
      <rPr>
        <i/>
        <sz val="11"/>
        <color indexed="8"/>
        <rFont val="Calibri"/>
        <family val="2"/>
      </rPr>
      <t xml:space="preserve"> [m</t>
    </r>
    <r>
      <rPr>
        <i/>
        <vertAlign val="superscript"/>
        <sz val="11"/>
        <color indexed="8"/>
        <rFont val="Calibri"/>
        <family val="2"/>
      </rPr>
      <t>3</t>
    </r>
    <r>
      <rPr>
        <i/>
        <sz val="11"/>
        <color indexed="8"/>
        <rFont val="Calibri"/>
        <family val="2"/>
      </rPr>
      <t>/giorno]</t>
    </r>
  </si>
  <si>
    <r>
      <t>ρ</t>
    </r>
    <r>
      <rPr>
        <vertAlign val="subscript"/>
        <sz val="11"/>
        <color indexed="8"/>
        <rFont val="Calibri"/>
        <family val="2"/>
      </rPr>
      <t>w</t>
    </r>
    <r>
      <rPr>
        <sz val="11"/>
        <color indexed="8"/>
        <rFont val="Calibri"/>
        <family val="2"/>
      </rPr>
      <t xml:space="preserve"> [kg/m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]</t>
    </r>
  </si>
  <si>
    <r>
      <t>c</t>
    </r>
    <r>
      <rPr>
        <i/>
        <vertAlign val="subscript"/>
        <sz val="11"/>
        <color indexed="8"/>
        <rFont val="Calibri"/>
        <family val="2"/>
      </rPr>
      <t xml:space="preserve">w </t>
    </r>
    <r>
      <rPr>
        <i/>
        <sz val="11"/>
        <color indexed="8"/>
        <rFont val="Calibri"/>
        <family val="2"/>
      </rPr>
      <t>[kWh/(kg∙K)]</t>
    </r>
  </si>
  <si>
    <r>
      <t>[V</t>
    </r>
    <r>
      <rPr>
        <i/>
        <vertAlign val="subscript"/>
        <sz val="11"/>
        <color indexed="8"/>
        <rFont val="Calibri"/>
        <family val="2"/>
      </rPr>
      <t>w,a</t>
    </r>
    <r>
      <rPr>
        <vertAlign val="subscript"/>
        <sz val="11"/>
        <color indexed="8"/>
        <rFont val="Calibri"/>
        <family val="2"/>
      </rPr>
      <t>·</t>
    </r>
    <r>
      <rPr>
        <i/>
        <sz val="9.8"/>
        <color indexed="8"/>
        <rFont val="Calibri"/>
        <family val="2"/>
      </rPr>
      <t>(θ</t>
    </r>
    <r>
      <rPr>
        <i/>
        <vertAlign val="subscript"/>
        <sz val="9.8"/>
        <color indexed="8"/>
        <rFont val="Calibri"/>
        <family val="2"/>
      </rPr>
      <t>er,i</t>
    </r>
    <r>
      <rPr>
        <i/>
        <sz val="9.8"/>
        <color indexed="8"/>
        <rFont val="Calibri"/>
        <family val="2"/>
      </rPr>
      <t>-θ</t>
    </r>
    <r>
      <rPr>
        <i/>
        <vertAlign val="subscript"/>
        <sz val="9.8"/>
        <color indexed="8"/>
        <rFont val="Calibri"/>
        <family val="2"/>
      </rPr>
      <t>0</t>
    </r>
    <r>
      <rPr>
        <i/>
        <sz val="9.8"/>
        <color indexed="8"/>
        <rFont val="Calibri"/>
        <family val="2"/>
      </rPr>
      <t>)</t>
    </r>
    <r>
      <rPr>
        <i/>
        <sz val="11"/>
        <color indexed="8"/>
        <rFont val="Calibri"/>
        <family val="2"/>
      </rPr>
      <t>]·G</t>
    </r>
  </si>
  <si>
    <r>
      <t>Q</t>
    </r>
    <r>
      <rPr>
        <i/>
        <vertAlign val="subscript"/>
        <sz val="11"/>
        <color indexed="8"/>
        <rFont val="Calibri"/>
        <family val="2"/>
      </rPr>
      <t>w, tot</t>
    </r>
    <r>
      <rPr>
        <i/>
        <sz val="11"/>
        <color indexed="8"/>
        <rFont val="Calibri"/>
        <family val="2"/>
      </rPr>
      <t xml:space="preserve"> [kWh]</t>
    </r>
  </si>
  <si>
    <r>
      <rPr>
        <sz val="11"/>
        <color indexed="8"/>
        <rFont val="Calibri"/>
        <family val="2"/>
      </rPr>
      <t>θ</t>
    </r>
    <r>
      <rPr>
        <i/>
        <vertAlign val="subscript"/>
        <sz val="9.8"/>
        <color indexed="8"/>
        <rFont val="Calibri"/>
        <family val="2"/>
      </rPr>
      <t>er,i</t>
    </r>
    <r>
      <rPr>
        <i/>
        <vertAlign val="subscript"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(°C)</t>
    </r>
  </si>
  <si>
    <t>G [giorni del mese]</t>
  </si>
  <si>
    <r>
      <t>Q</t>
    </r>
    <r>
      <rPr>
        <b/>
        <vertAlign val="subscript"/>
        <sz val="11"/>
        <color indexed="8"/>
        <rFont val="Calibri"/>
        <family val="2"/>
      </rPr>
      <t xml:space="preserve">w,i </t>
    </r>
    <r>
      <rPr>
        <b/>
        <sz val="11"/>
        <color indexed="8"/>
        <rFont val="Calibri"/>
        <family val="2"/>
      </rPr>
      <t>[kWh]</t>
    </r>
  </si>
  <si>
    <t>Consumo acqua (l/persona)</t>
  </si>
  <si>
    <r>
      <rPr>
        <sz val="11"/>
        <color indexed="8"/>
        <rFont val="Calibri"/>
        <family val="2"/>
      </rPr>
      <t>θ</t>
    </r>
    <r>
      <rPr>
        <i/>
        <vertAlign val="subscript"/>
        <sz val="11"/>
        <color indexed="8"/>
        <rFont val="Calibri"/>
        <family val="2"/>
      </rPr>
      <t xml:space="preserve">0 </t>
    </r>
    <r>
      <rPr>
        <i/>
        <sz val="11"/>
        <color indexed="8"/>
        <rFont val="Calibri"/>
        <family val="2"/>
      </rPr>
      <t>(°C)</t>
    </r>
  </si>
  <si>
    <r>
      <t xml:space="preserve">Sommatoria </t>
    </r>
    <r>
      <rPr>
        <sz val="11"/>
        <color indexed="8"/>
        <rFont val="Calibri"/>
        <family val="2"/>
      </rPr>
      <t>Σ</t>
    </r>
  </si>
  <si>
    <r>
      <t>Q</t>
    </r>
    <r>
      <rPr>
        <b/>
        <vertAlign val="subscript"/>
        <sz val="11"/>
        <color indexed="56"/>
        <rFont val="Calibri"/>
        <family val="2"/>
      </rPr>
      <t xml:space="preserve">w </t>
    </r>
    <r>
      <rPr>
        <b/>
        <sz val="11"/>
        <color indexed="56"/>
        <rFont val="Calibri"/>
        <family val="2"/>
      </rPr>
      <t>(kWh/mese)</t>
    </r>
  </si>
  <si>
    <t>Assorbimento (%)</t>
  </si>
  <si>
    <t>Emissione (%)</t>
  </si>
  <si>
    <t xml:space="preserve">Rendimento </t>
  </si>
  <si>
    <r>
      <t>Superficie lorda (m</t>
    </r>
    <r>
      <rPr>
        <i/>
        <vertAlign val="superscript"/>
        <sz val="12"/>
        <color indexed="8"/>
        <rFont val="Calibri"/>
        <family val="2"/>
      </rPr>
      <t>2</t>
    </r>
    <r>
      <rPr>
        <i/>
        <sz val="12"/>
        <color indexed="8"/>
        <rFont val="Calibri"/>
        <family val="2"/>
      </rPr>
      <t>)</t>
    </r>
  </si>
  <si>
    <r>
      <t>Superficie netta assorbente (m</t>
    </r>
    <r>
      <rPr>
        <i/>
        <vertAlign val="superscript"/>
        <sz val="12"/>
        <color indexed="8"/>
        <rFont val="Calibri"/>
        <family val="2"/>
      </rPr>
      <t>2</t>
    </r>
    <r>
      <rPr>
        <i/>
        <sz val="12"/>
        <color indexed="8"/>
        <rFont val="Calibri"/>
        <family val="2"/>
      </rPr>
      <t>)</t>
    </r>
  </si>
  <si>
    <r>
      <t>Trasmittanza semplice (W/m</t>
    </r>
    <r>
      <rPr>
        <i/>
        <vertAlign val="superscript"/>
        <sz val="12"/>
        <color indexed="8"/>
        <rFont val="Calibri"/>
        <family val="2"/>
      </rPr>
      <t>2</t>
    </r>
    <r>
      <rPr>
        <i/>
        <sz val="12"/>
        <color indexed="8"/>
        <rFont val="Calibri"/>
        <family val="2"/>
      </rPr>
      <t>K)</t>
    </r>
  </si>
  <si>
    <t>Dati tecnici: Pannello SKY20</t>
  </si>
  <si>
    <t>Numero collettori</t>
  </si>
  <si>
    <r>
      <t>Fabbisogno</t>
    </r>
  </si>
  <si>
    <t>Produzione solare termico</t>
  </si>
  <si>
    <t>0° (Sud)</t>
  </si>
  <si>
    <t>40°</t>
  </si>
  <si>
    <r>
      <t>I</t>
    </r>
    <r>
      <rPr>
        <b/>
        <vertAlign val="subscript"/>
        <sz val="11"/>
        <color indexed="56"/>
        <rFont val="Calibri"/>
        <family val="2"/>
      </rPr>
      <t xml:space="preserve">β </t>
    </r>
    <r>
      <rPr>
        <b/>
        <sz val="11"/>
        <color indexed="56"/>
        <rFont val="Calibri"/>
        <family val="2"/>
      </rPr>
      <t>(kWh/m</t>
    </r>
    <r>
      <rPr>
        <b/>
        <vertAlign val="superscript"/>
        <sz val="11"/>
        <color indexed="56"/>
        <rFont val="Calibri"/>
        <family val="2"/>
      </rPr>
      <t>2</t>
    </r>
    <r>
      <rPr>
        <b/>
        <sz val="11"/>
        <color indexed="56"/>
        <rFont val="Calibri"/>
        <family val="2"/>
      </rPr>
      <t xml:space="preserve"> giorno)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</si>
</sst>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6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b/>
      <sz val="11"/>
      <color indexed="10"/>
      <name val="Calibri"/>
      <family val="2"/>
    </font>
    <font>
      <b/>
      <vertAlign val="subscript"/>
      <sz val="11"/>
      <color indexed="56"/>
      <name val="Calibri"/>
      <family val="2"/>
    </font>
    <font>
      <b/>
      <i/>
      <sz val="11"/>
      <color indexed="56"/>
      <name val="Calibri"/>
      <family val="2"/>
    </font>
    <font>
      <b/>
      <i/>
      <vertAlign val="subscript"/>
      <sz val="11"/>
      <color indexed="56"/>
      <name val="Calibri"/>
      <family val="2"/>
    </font>
    <font>
      <sz val="14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perscript"/>
      <sz val="11"/>
      <color indexed="56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i/>
      <vertAlign val="subscript"/>
      <sz val="9.8"/>
      <color indexed="8"/>
      <name val="Calibri"/>
      <family val="2"/>
    </font>
    <font>
      <i/>
      <sz val="9.8"/>
      <color indexed="8"/>
      <name val="Calibri"/>
      <family val="2"/>
    </font>
    <font>
      <i/>
      <sz val="12"/>
      <color indexed="8"/>
      <name val="Calibri"/>
      <family val="2"/>
    </font>
    <font>
      <i/>
      <vertAlign val="superscript"/>
      <sz val="12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mbria Math"/>
      <family val="0"/>
    </font>
    <font>
      <sz val="12"/>
      <color indexed="8"/>
      <name val="Calibri"/>
      <family val="0"/>
    </font>
    <font>
      <i/>
      <sz val="12"/>
      <color indexed="8"/>
      <name val="Cambria Math"/>
      <family val="0"/>
    </font>
    <font>
      <sz val="10"/>
      <color indexed="8"/>
      <name val="Calibri"/>
      <family val="0"/>
    </font>
    <font>
      <b/>
      <i/>
      <sz val="18"/>
      <color indexed="10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3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3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>
        <color theme="0"/>
      </bottom>
    </border>
    <border>
      <left style="medium"/>
      <right style="medium"/>
      <top style="thin">
        <color theme="0"/>
      </top>
      <bottom style="thin">
        <color theme="0"/>
      </bottom>
    </border>
    <border>
      <left style="medium"/>
      <right style="medium"/>
      <top style="thin">
        <color theme="0"/>
      </top>
      <bottom/>
    </border>
    <border>
      <left style="medium"/>
      <right style="medium"/>
      <top style="thin">
        <color theme="0"/>
      </top>
      <bottom style="medium"/>
    </border>
    <border>
      <left style="medium"/>
      <right/>
      <top style="thin">
        <color theme="0"/>
      </top>
      <bottom style="medium"/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medium"/>
      <right style="medium"/>
      <top/>
      <bottom style="thin">
        <color theme="0"/>
      </bottom>
    </border>
    <border>
      <left style="medium"/>
      <right style="thin">
        <color theme="0"/>
      </right>
      <top style="thin">
        <color theme="0"/>
      </top>
      <bottom/>
    </border>
    <border>
      <left style="thin">
        <color theme="0"/>
      </left>
      <right style="medium"/>
      <top style="thin">
        <color theme="0"/>
      </top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medium"/>
      <top style="thin">
        <color theme="0"/>
      </top>
      <bottom style="medium"/>
    </border>
    <border>
      <left style="medium"/>
      <right/>
      <top style="thin">
        <color theme="0"/>
      </top>
      <bottom style="thin">
        <color theme="0"/>
      </bottom>
    </border>
    <border>
      <left style="medium"/>
      <right/>
      <top style="medium"/>
      <bottom style="thin">
        <color theme="0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thin">
        <color theme="0"/>
      </top>
      <bottom style="thin">
        <color theme="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>
        <color theme="0"/>
      </bottom>
    </border>
    <border>
      <left style="medium"/>
      <right/>
      <top style="thin">
        <color theme="0"/>
      </top>
      <bottom/>
    </border>
    <border>
      <left/>
      <right style="medium"/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8" fillId="0" borderId="12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57" fillId="33" borderId="15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58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8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64" fillId="0" borderId="0" xfId="0" applyFon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57" fillId="33" borderId="3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34" borderId="33" xfId="0" applyNumberFormat="1" applyFill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64" fillId="6" borderId="15" xfId="0" applyFont="1" applyFill="1" applyBorder="1" applyAlignment="1">
      <alignment horizontal="center"/>
    </xf>
    <xf numFmtId="0" fontId="65" fillId="0" borderId="35" xfId="0" applyFont="1" applyBorder="1" applyAlignment="1">
      <alignment horizontal="center"/>
    </xf>
    <xf numFmtId="0" fontId="65" fillId="0" borderId="28" xfId="0" applyFont="1" applyFill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65" fillId="0" borderId="36" xfId="0" applyFont="1" applyFill="1" applyBorder="1" applyAlignment="1">
      <alignment horizontal="center"/>
    </xf>
    <xf numFmtId="0" fontId="65" fillId="0" borderId="37" xfId="0" applyFont="1" applyFill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9" fontId="0" fillId="0" borderId="10" xfId="0" applyNumberForma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57" fillId="33" borderId="13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7" fillId="35" borderId="43" xfId="0" applyFont="1" applyFill="1" applyBorder="1" applyAlignment="1">
      <alignment horizontal="center"/>
    </xf>
    <xf numFmtId="0" fontId="57" fillId="0" borderId="3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67" fillId="36" borderId="27" xfId="0" applyFont="1" applyFill="1" applyBorder="1" applyAlignment="1">
      <alignment horizontal="center" vertical="center"/>
    </xf>
    <xf numFmtId="0" fontId="67" fillId="36" borderId="44" xfId="0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center" vertical="center"/>
    </xf>
    <xf numFmtId="0" fontId="67" fillId="36" borderId="45" xfId="0" applyFont="1" applyFill="1" applyBorder="1" applyAlignment="1">
      <alignment horizontal="center" vertical="center"/>
    </xf>
    <xf numFmtId="0" fontId="67" fillId="36" borderId="46" xfId="0" applyFont="1" applyFill="1" applyBorder="1" applyAlignment="1">
      <alignment horizontal="center" vertical="center"/>
    </xf>
    <xf numFmtId="0" fontId="67" fillId="36" borderId="3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68" fillId="0" borderId="32" xfId="0" applyFont="1" applyBorder="1" applyAlignment="1">
      <alignment horizontal="center"/>
    </xf>
    <xf numFmtId="0" fontId="68" fillId="0" borderId="47" xfId="0" applyFont="1" applyBorder="1" applyAlignment="1">
      <alignment horizontal="center"/>
    </xf>
    <xf numFmtId="0" fontId="68" fillId="0" borderId="43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47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69" fillId="0" borderId="11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4" xfId="0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64" fontId="0" fillId="34" borderId="27" xfId="0" applyNumberFormat="1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1" fontId="0" fillId="34" borderId="45" xfId="0" applyNumberFormat="1" applyFill="1" applyBorder="1" applyAlignment="1">
      <alignment horizontal="center"/>
    </xf>
    <xf numFmtId="1" fontId="0" fillId="34" borderId="31" xfId="0" applyNumberForma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Frazione solare mensile f</a:t>
            </a:r>
          </a:p>
        </c:rich>
      </c:tx>
      <c:layout>
        <c:manualLayout>
          <c:xMode val="factor"/>
          <c:yMode val="factor"/>
          <c:x val="-0.00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53"/>
          <c:w val="0.97725"/>
          <c:h val="0.80925"/>
        </c:manualLayout>
      </c:layout>
      <c:lineChart>
        <c:grouping val="stacked"/>
        <c:varyColors val="0"/>
        <c:ser>
          <c:idx val="0"/>
          <c:order val="0"/>
          <c:tx>
            <c:v>Frazione solare mensile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'Calcolo frazione coperta'!$G$30:$G$41</c:f>
              <c:strCache/>
            </c:strRef>
          </c:cat>
          <c:val>
            <c:numRef>
              <c:f>'Calcolo frazione coperta'!$R$30:$R$41</c:f>
              <c:numCache/>
            </c:numRef>
          </c:val>
          <c:smooth val="0"/>
        </c:ser>
        <c:marker val="1"/>
        <c:axId val="9437925"/>
        <c:axId val="47237050"/>
      </c:lineChart>
      <c:catAx>
        <c:axId val="943792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37050"/>
        <c:crosses val="autoZero"/>
        <c:auto val="1"/>
        <c:lblOffset val="100"/>
        <c:tickLblSkip val="1"/>
        <c:noMultiLvlLbl val="0"/>
      </c:catAx>
      <c:valAx>
        <c:axId val="47237050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37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Fabbisogno - Copertura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1085"/>
          <c:w val="0.9772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'Calcolo frazione coperta'!$B$48</c:f>
              <c:strCache>
                <c:ptCount val="1"/>
                <c:pt idx="0">
                  <c:v>Fabbisogno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'Calcolo frazione coperta'!$A$49:$A$60</c:f>
              <c:strCache/>
            </c:strRef>
          </c:cat>
          <c:val>
            <c:numRef>
              <c:f>'Calcolo frazione coperta'!$B$49:$B$60</c:f>
              <c:numCache/>
            </c:numRef>
          </c:val>
          <c:shape val="box"/>
        </c:ser>
        <c:ser>
          <c:idx val="1"/>
          <c:order val="1"/>
          <c:tx>
            <c:strRef>
              <c:f>'Calcolo frazione coperta'!$C$48</c:f>
              <c:strCache>
                <c:ptCount val="1"/>
                <c:pt idx="0">
                  <c:v>Produzione solare termico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'Calcolo frazione coperta'!$A$49:$A$60</c:f>
              <c:strCache/>
            </c:strRef>
          </c:cat>
          <c:val>
            <c:numRef>
              <c:f>'Calcolo frazione coperta'!$C$49:$C$60</c:f>
              <c:numCache/>
            </c:numRef>
          </c:val>
          <c:shape val="box"/>
        </c:ser>
        <c:gapWidth val="75"/>
        <c:shape val="box"/>
        <c:axId val="38130979"/>
        <c:axId val="13791856"/>
      </c:bar3DChart>
      <c:catAx>
        <c:axId val="3813097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791856"/>
        <c:crosses val="autoZero"/>
        <c:auto val="1"/>
        <c:lblOffset val="100"/>
        <c:tickLblSkip val="1"/>
        <c:noMultiLvlLbl val="0"/>
      </c:catAx>
      <c:valAx>
        <c:axId val="137918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2325"/>
              <c:y val="-0.36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1309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25"/>
          <c:y val="0.932"/>
          <c:w val="0.326"/>
          <c:h val="0.05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1323975</xdr:colOff>
      <xdr:row>45</xdr:row>
      <xdr:rowOff>171450</xdr:rowOff>
    </xdr:from>
    <xdr:to>
      <xdr:col>9</xdr:col>
      <xdr:colOff>571500</xdr:colOff>
      <xdr:row>52</xdr:row>
      <xdr:rowOff>190500</xdr:rowOff>
    </xdr:to>
    <xdr:sp>
      <xdr:nvSpPr>
        <xdr:cNvPr id="1" name="Rettangolo 2"/>
        <xdr:cNvSpPr>
          <a:spLocks/>
        </xdr:cNvSpPr>
      </xdr:nvSpPr>
      <xdr:spPr>
        <a:xfrm>
          <a:off x="9563100" y="9705975"/>
          <a:ext cx="2371725" cy="1447800"/>
        </a:xfrm>
        <a:prstGeom prst="rect">
          <a:avLst/>
        </a:prstGeom>
        <a:solidFill>
          <a:srgbClr val="FFFFFF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X=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A ∙S∙U∙(100-t</a:t>
          </a:r>
          <a:r>
            <a:rPr lang="en-US" cap="none" sz="1200" b="0" i="0" u="none" baseline="0">
              <a:solidFill>
                <a:srgbClr val="000000"/>
              </a:solidFill>
            </a:rPr>
            <a:t>_</a:t>
          </a:r>
          <a:r>
            <a:rPr lang="en-US" cap="none" sz="1200" b="0" i="0" u="none" baseline="0">
              <a:solidFill>
                <a:srgbClr val="000000"/>
              </a:solidFill>
            </a:rPr>
            <a:t>a)∙24∙n</a:t>
          </a:r>
          <a:r>
            <a:rPr lang="en-US" cap="none" sz="1200" b="0" i="0" u="none" baseline="0">
              <a:solidFill>
                <a:srgbClr val="000000"/>
              </a:solidFill>
            </a:rPr>
            <a:t>_</a:t>
          </a:r>
          <a:r>
            <a:rPr lang="en-US" cap="none" sz="1200" b="0" i="0" u="none" baseline="0">
              <a:solidFill>
                <a:srgbClr val="000000"/>
              </a:solidFill>
            </a:rPr>
            <a:t>g</a:t>
          </a:r>
          <a:r>
            <a:rPr lang="en-US" cap="none" sz="1200" b="0" i="0" u="none" baseline="0">
              <a:solidFill>
                <a:srgbClr val="000000"/>
              </a:solidFill>
            </a:rPr>
            <a:t>)/(</a:t>
          </a:r>
          <a:r>
            <a:rPr lang="en-US" cap="none" sz="1200" b="0" i="0" u="none" baseline="0">
              <a:solidFill>
                <a:srgbClr val="000000"/>
              </a:solidFill>
            </a:rPr>
            <a:t>1000 E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Y=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A∙S∙(τα)∙I</a:t>
          </a:r>
          <a:r>
            <a:rPr lang="en-US" cap="none" sz="1200" b="0" i="0" u="none" baseline="0">
              <a:solidFill>
                <a:srgbClr val="000000"/>
              </a:solidFill>
            </a:rPr>
            <a:t>_</a:t>
          </a:r>
          <a:r>
            <a:rPr lang="en-US" cap="none" sz="1200" b="0" i="0" u="none" baseline="0">
              <a:solidFill>
                <a:srgbClr val="000000"/>
              </a:solidFill>
            </a:rPr>
            <a:t>β</a:t>
          </a:r>
          <a:r>
            <a:rPr lang="en-US" cap="none" sz="1200" b="0" i="0" u="none" baseline="0">
              <a:solidFill>
                <a:srgbClr val="000000"/>
              </a:solidFill>
            </a:rPr>
            <a:t>)/</a:t>
          </a:r>
          <a:r>
            <a:rPr lang="en-US" cap="none" sz="12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 editAs="oneCell">
    <xdr:from>
      <xdr:col>11</xdr:col>
      <xdr:colOff>381000</xdr:colOff>
      <xdr:row>62</xdr:row>
      <xdr:rowOff>171450</xdr:rowOff>
    </xdr:from>
    <xdr:to>
      <xdr:col>16</xdr:col>
      <xdr:colOff>28575</xdr:colOff>
      <xdr:row>64</xdr:row>
      <xdr:rowOff>114300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11175" y="13125450"/>
          <a:ext cx="3876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428625</xdr:colOff>
      <xdr:row>62</xdr:row>
      <xdr:rowOff>123825</xdr:rowOff>
    </xdr:from>
    <xdr:to>
      <xdr:col>16</xdr:col>
      <xdr:colOff>123825</xdr:colOff>
      <xdr:row>64</xdr:row>
      <xdr:rowOff>152400</xdr:rowOff>
    </xdr:to>
    <xdr:sp>
      <xdr:nvSpPr>
        <xdr:cNvPr id="3" name="Rettangolo 3"/>
        <xdr:cNvSpPr>
          <a:spLocks/>
        </xdr:cNvSpPr>
      </xdr:nvSpPr>
      <xdr:spPr>
        <a:xfrm>
          <a:off x="13258800" y="13077825"/>
          <a:ext cx="3924300" cy="409575"/>
        </a:xfrm>
        <a:prstGeom prst="rect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742950</xdr:colOff>
      <xdr:row>32</xdr:row>
      <xdr:rowOff>171450</xdr:rowOff>
    </xdr:from>
    <xdr:to>
      <xdr:col>5</xdr:col>
      <xdr:colOff>381000</xdr:colOff>
      <xdr:row>35</xdr:row>
      <xdr:rowOff>123825</xdr:rowOff>
    </xdr:to>
    <xdr:sp>
      <xdr:nvSpPr>
        <xdr:cNvPr id="4" name="Freccia a destra 10"/>
        <xdr:cNvSpPr>
          <a:spLocks/>
        </xdr:cNvSpPr>
      </xdr:nvSpPr>
      <xdr:spPr>
        <a:xfrm>
          <a:off x="4667250" y="6877050"/>
          <a:ext cx="2886075" cy="581025"/>
        </a:xfrm>
        <a:prstGeom prst="rightArrow">
          <a:avLst>
            <a:gd name="adj" fmla="val 13416"/>
          </a:avLst>
        </a:prstGeom>
        <a:solidFill>
          <a:srgbClr val="4F81BD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1819275</xdr:colOff>
      <xdr:row>54</xdr:row>
      <xdr:rowOff>152400</xdr:rowOff>
    </xdr:from>
    <xdr:to>
      <xdr:col>9</xdr:col>
      <xdr:colOff>219075</xdr:colOff>
      <xdr:row>59</xdr:row>
      <xdr:rowOff>95250</xdr:rowOff>
    </xdr:to>
    <xdr:pic>
      <xdr:nvPicPr>
        <xdr:cNvPr id="5" name="Immagin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11515725"/>
          <a:ext cx="1524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54</xdr:row>
      <xdr:rowOff>123825</xdr:rowOff>
    </xdr:from>
    <xdr:to>
      <xdr:col>9</xdr:col>
      <xdr:colOff>276225</xdr:colOff>
      <xdr:row>60</xdr:row>
      <xdr:rowOff>19050</xdr:rowOff>
    </xdr:to>
    <xdr:sp>
      <xdr:nvSpPr>
        <xdr:cNvPr id="6" name="Rettangolo 13"/>
        <xdr:cNvSpPr>
          <a:spLocks/>
        </xdr:cNvSpPr>
      </xdr:nvSpPr>
      <xdr:spPr>
        <a:xfrm>
          <a:off x="10096500" y="11487150"/>
          <a:ext cx="1543050" cy="1095375"/>
        </a:xfrm>
        <a:prstGeom prst="rect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1</xdr:row>
      <xdr:rowOff>57150</xdr:rowOff>
    </xdr:from>
    <xdr:to>
      <xdr:col>15</xdr:col>
      <xdr:colOff>0</xdr:colOff>
      <xdr:row>4</xdr:row>
      <xdr:rowOff>66675</xdr:rowOff>
    </xdr:to>
    <xdr:pic>
      <xdr:nvPicPr>
        <xdr:cNvPr id="7" name="Immagin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96850" y="238125"/>
          <a:ext cx="3409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752475</xdr:colOff>
      <xdr:row>1</xdr:row>
      <xdr:rowOff>38100</xdr:rowOff>
    </xdr:from>
    <xdr:to>
      <xdr:col>15</xdr:col>
      <xdr:colOff>0</xdr:colOff>
      <xdr:row>3</xdr:row>
      <xdr:rowOff>171450</xdr:rowOff>
    </xdr:to>
    <xdr:sp>
      <xdr:nvSpPr>
        <xdr:cNvPr id="8" name="Rettangolo 17"/>
        <xdr:cNvSpPr>
          <a:spLocks/>
        </xdr:cNvSpPr>
      </xdr:nvSpPr>
      <xdr:spPr>
        <a:xfrm>
          <a:off x="12830175" y="219075"/>
          <a:ext cx="3476625" cy="5715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9525</xdr:rowOff>
    </xdr:from>
    <xdr:to>
      <xdr:col>16</xdr:col>
      <xdr:colOff>323850</xdr:colOff>
      <xdr:row>61</xdr:row>
      <xdr:rowOff>76200</xdr:rowOff>
    </xdr:to>
    <xdr:graphicFrame>
      <xdr:nvGraphicFramePr>
        <xdr:cNvPr id="9" name="Grafico 18"/>
        <xdr:cNvGraphicFramePr/>
      </xdr:nvGraphicFramePr>
      <xdr:xfrm>
        <a:off x="12830175" y="9734550"/>
        <a:ext cx="4552950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45</xdr:row>
      <xdr:rowOff>142875</xdr:rowOff>
    </xdr:from>
    <xdr:to>
      <xdr:col>6</xdr:col>
      <xdr:colOff>38100</xdr:colOff>
      <xdr:row>66</xdr:row>
      <xdr:rowOff>104775</xdr:rowOff>
    </xdr:to>
    <xdr:graphicFrame>
      <xdr:nvGraphicFramePr>
        <xdr:cNvPr id="10" name="Grafico 6"/>
        <xdr:cNvGraphicFramePr/>
      </xdr:nvGraphicFramePr>
      <xdr:xfrm>
        <a:off x="0" y="9677400"/>
        <a:ext cx="8277225" cy="4143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28</xdr:row>
      <xdr:rowOff>190500</xdr:rowOff>
    </xdr:from>
    <xdr:to>
      <xdr:col>2</xdr:col>
      <xdr:colOff>219075</xdr:colOff>
      <xdr:row>40</xdr:row>
      <xdr:rowOff>38100</xdr:rowOff>
    </xdr:to>
    <xdr:sp>
      <xdr:nvSpPr>
        <xdr:cNvPr id="11" name="Rettangolo 4"/>
        <xdr:cNvSpPr>
          <a:spLocks/>
        </xdr:cNvSpPr>
      </xdr:nvSpPr>
      <xdr:spPr>
        <a:xfrm>
          <a:off x="28575" y="6019800"/>
          <a:ext cx="4114800" cy="2505075"/>
        </a:xfrm>
        <a:prstGeom prst="rect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90" zoomScaleNormal="90" zoomScalePageLayoutView="0" workbookViewId="0" topLeftCell="A1">
      <selection activeCell="D38" sqref="D38"/>
    </sheetView>
  </sheetViews>
  <sheetFormatPr defaultColWidth="9.140625" defaultRowHeight="15"/>
  <cols>
    <col min="1" max="1" width="30.57421875" style="0" customWidth="1"/>
    <col min="2" max="2" width="28.28125" style="0" bestFit="1" customWidth="1"/>
    <col min="3" max="3" width="23.00390625" style="0" customWidth="1"/>
    <col min="4" max="4" width="13.140625" style="0" customWidth="1"/>
    <col min="5" max="5" width="12.57421875" style="0" customWidth="1"/>
    <col min="6" max="6" width="16.00390625" style="0" bestFit="1" customWidth="1"/>
    <col min="7" max="7" width="27.28125" style="0" bestFit="1" customWidth="1"/>
    <col min="9" max="9" width="10.421875" style="0" customWidth="1"/>
    <col min="10" max="10" width="10.7109375" style="0" customWidth="1"/>
    <col min="11" max="11" width="11.28125" style="0" customWidth="1"/>
    <col min="12" max="12" width="10.28125" style="0" bestFit="1" customWidth="1"/>
    <col min="13" max="13" width="14.57421875" style="0" customWidth="1"/>
    <col min="14" max="14" width="9.28125" style="0" customWidth="1"/>
    <col min="15" max="15" width="18.00390625" style="0" customWidth="1"/>
    <col min="16" max="16" width="11.28125" style="0" customWidth="1"/>
    <col min="17" max="17" width="11.421875" style="0" customWidth="1"/>
    <col min="18" max="18" width="11.57421875" style="0" customWidth="1"/>
    <col min="19" max="19" width="12.140625" style="0" customWidth="1"/>
    <col min="20" max="20" width="11.00390625" style="0" bestFit="1" customWidth="1"/>
    <col min="21" max="21" width="9.00390625" style="0" bestFit="1" customWidth="1"/>
    <col min="22" max="22" width="10.8515625" style="0" bestFit="1" customWidth="1"/>
    <col min="23" max="23" width="12.421875" style="0" bestFit="1" customWidth="1"/>
    <col min="24" max="24" width="9.00390625" style="0" bestFit="1" customWidth="1"/>
    <col min="25" max="25" width="11.140625" style="0" bestFit="1" customWidth="1"/>
    <col min="26" max="26" width="9.00390625" style="0" bestFit="1" customWidth="1"/>
    <col min="27" max="27" width="11.00390625" style="0" bestFit="1" customWidth="1"/>
    <col min="28" max="28" width="10.00390625" style="0" bestFit="1" customWidth="1"/>
    <col min="30" max="30" width="11.00390625" style="0" bestFit="1" customWidth="1"/>
  </cols>
  <sheetData>
    <row r="1" spans="1:9" ht="14.25" customHeight="1">
      <c r="A1" s="93" t="s">
        <v>15</v>
      </c>
      <c r="B1" s="94"/>
      <c r="C1" s="94"/>
      <c r="D1" s="94"/>
      <c r="E1" s="95"/>
      <c r="F1" s="79"/>
      <c r="G1" s="79"/>
      <c r="H1" s="79"/>
      <c r="I1" s="79"/>
    </row>
    <row r="2" spans="1:9" ht="15" customHeight="1" thickBot="1">
      <c r="A2" s="96"/>
      <c r="B2" s="97"/>
      <c r="C2" s="97"/>
      <c r="D2" s="97"/>
      <c r="E2" s="98"/>
      <c r="F2" s="79"/>
      <c r="G2" s="79"/>
      <c r="H2" s="79"/>
      <c r="I2" s="79"/>
    </row>
    <row r="3" spans="1:9" ht="19.5" thickBot="1">
      <c r="A3" s="106" t="s">
        <v>16</v>
      </c>
      <c r="B3" s="107"/>
      <c r="C3" s="107"/>
      <c r="D3" s="107"/>
      <c r="E3" s="108"/>
      <c r="F3" s="80"/>
      <c r="G3" s="80"/>
      <c r="H3" s="80"/>
      <c r="I3" s="80"/>
    </row>
    <row r="4" spans="1:9" ht="15" customHeight="1" thickBot="1">
      <c r="A4" s="112" t="s">
        <v>17</v>
      </c>
      <c r="B4" s="90" t="s">
        <v>18</v>
      </c>
      <c r="C4" s="109" t="s">
        <v>19</v>
      </c>
      <c r="D4" s="110"/>
      <c r="E4" s="111"/>
      <c r="I4" s="81"/>
    </row>
    <row r="5" spans="1:9" ht="16.5" customHeight="1" thickBot="1">
      <c r="A5" s="113"/>
      <c r="B5" s="101" t="s">
        <v>20</v>
      </c>
      <c r="C5" s="2" t="s">
        <v>21</v>
      </c>
      <c r="D5" s="104" t="s">
        <v>22</v>
      </c>
      <c r="E5" s="105"/>
      <c r="I5" s="82"/>
    </row>
    <row r="6" spans="1:19" ht="14.25" customHeight="1" thickBot="1">
      <c r="A6" s="113"/>
      <c r="B6" s="102"/>
      <c r="C6" s="99" t="s">
        <v>23</v>
      </c>
      <c r="D6" s="21" t="s">
        <v>24</v>
      </c>
      <c r="E6" s="11" t="s">
        <v>63</v>
      </c>
      <c r="G6" s="49" t="s">
        <v>40</v>
      </c>
      <c r="H6" s="88" t="s">
        <v>0</v>
      </c>
      <c r="I6" s="88" t="s">
        <v>1</v>
      </c>
      <c r="J6" s="88" t="s">
        <v>2</v>
      </c>
      <c r="K6" s="88" t="s">
        <v>3</v>
      </c>
      <c r="L6" s="88" t="s">
        <v>4</v>
      </c>
      <c r="M6" s="88" t="s">
        <v>5</v>
      </c>
      <c r="N6" s="88" t="s">
        <v>6</v>
      </c>
      <c r="O6" s="88" t="s">
        <v>7</v>
      </c>
      <c r="P6" s="88" t="s">
        <v>8</v>
      </c>
      <c r="Q6" s="88" t="s">
        <v>9</v>
      </c>
      <c r="R6" s="88" t="s">
        <v>10</v>
      </c>
      <c r="S6" s="89" t="s">
        <v>11</v>
      </c>
    </row>
    <row r="7" spans="1:19" ht="15" customHeight="1" thickBot="1">
      <c r="A7" s="114"/>
      <c r="B7" s="103"/>
      <c r="C7" s="100"/>
      <c r="D7" s="28" t="s">
        <v>25</v>
      </c>
      <c r="E7" s="29" t="s">
        <v>64</v>
      </c>
      <c r="G7" s="50" t="s">
        <v>49</v>
      </c>
      <c r="H7" s="117">
        <v>50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1:19" ht="15">
      <c r="A8" s="12" t="s">
        <v>0</v>
      </c>
      <c r="B8" s="85">
        <v>11.5</v>
      </c>
      <c r="C8" s="2">
        <v>7.5</v>
      </c>
      <c r="D8" s="123">
        <v>3.33</v>
      </c>
      <c r="E8" s="124"/>
      <c r="G8" s="56" t="s">
        <v>39</v>
      </c>
      <c r="H8" s="120">
        <v>2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2"/>
    </row>
    <row r="9" spans="1:19" ht="18.75">
      <c r="A9" s="13" t="s">
        <v>1</v>
      </c>
      <c r="B9" s="84">
        <v>11.8</v>
      </c>
      <c r="C9" s="18">
        <v>10.43</v>
      </c>
      <c r="D9" s="115">
        <v>4.09</v>
      </c>
      <c r="E9" s="116"/>
      <c r="G9" s="51" t="s">
        <v>41</v>
      </c>
      <c r="H9" s="38">
        <f aca="true" t="shared" si="0" ref="H9:S9">$H$7*$H$8*10^-3</f>
        <v>0.1</v>
      </c>
      <c r="I9" s="38">
        <f t="shared" si="0"/>
        <v>0.1</v>
      </c>
      <c r="J9" s="38">
        <f t="shared" si="0"/>
        <v>0.1</v>
      </c>
      <c r="K9" s="38">
        <f t="shared" si="0"/>
        <v>0.1</v>
      </c>
      <c r="L9" s="38">
        <f t="shared" si="0"/>
        <v>0.1</v>
      </c>
      <c r="M9" s="38">
        <f t="shared" si="0"/>
        <v>0.1</v>
      </c>
      <c r="N9" s="38">
        <f t="shared" si="0"/>
        <v>0.1</v>
      </c>
      <c r="O9" s="38">
        <f t="shared" si="0"/>
        <v>0.1</v>
      </c>
      <c r="P9" s="38">
        <f t="shared" si="0"/>
        <v>0.1</v>
      </c>
      <c r="Q9" s="38">
        <f t="shared" si="0"/>
        <v>0.1</v>
      </c>
      <c r="R9" s="38">
        <f t="shared" si="0"/>
        <v>0.1</v>
      </c>
      <c r="S9" s="38">
        <f t="shared" si="0"/>
        <v>0.1</v>
      </c>
    </row>
    <row r="10" spans="1:19" ht="15">
      <c r="A10" s="13" t="s">
        <v>2</v>
      </c>
      <c r="B10" s="84">
        <v>13.2</v>
      </c>
      <c r="C10" s="18">
        <v>14.44</v>
      </c>
      <c r="D10" s="115">
        <v>4.7</v>
      </c>
      <c r="E10" s="116"/>
      <c r="G10" s="52" t="s">
        <v>47</v>
      </c>
      <c r="H10" s="38">
        <f>31</f>
        <v>31</v>
      </c>
      <c r="I10" s="36">
        <f>28</f>
        <v>28</v>
      </c>
      <c r="J10" s="36">
        <f>31</f>
        <v>31</v>
      </c>
      <c r="K10" s="36">
        <f>30</f>
        <v>30</v>
      </c>
      <c r="L10" s="36">
        <f>31</f>
        <v>31</v>
      </c>
      <c r="M10" s="36">
        <f>30</f>
        <v>30</v>
      </c>
      <c r="N10" s="36">
        <f>31</f>
        <v>31</v>
      </c>
      <c r="O10" s="36">
        <f>31</f>
        <v>31</v>
      </c>
      <c r="P10" s="36">
        <f>30</f>
        <v>30</v>
      </c>
      <c r="Q10" s="36">
        <f>31</f>
        <v>31</v>
      </c>
      <c r="R10" s="36">
        <f>30</f>
        <v>30</v>
      </c>
      <c r="S10" s="38">
        <f>31</f>
        <v>31</v>
      </c>
    </row>
    <row r="11" spans="1:19" ht="18.75">
      <c r="A11" s="13" t="s">
        <v>3</v>
      </c>
      <c r="B11" s="84">
        <v>15.3</v>
      </c>
      <c r="C11" s="18">
        <v>18.22</v>
      </c>
      <c r="D11" s="115">
        <v>5.13</v>
      </c>
      <c r="E11" s="116"/>
      <c r="G11" s="53" t="s">
        <v>42</v>
      </c>
      <c r="H11" s="38">
        <f>1000</f>
        <v>1000</v>
      </c>
      <c r="I11" s="36">
        <f>1000</f>
        <v>1000</v>
      </c>
      <c r="J11" s="36">
        <f>1000</f>
        <v>1000</v>
      </c>
      <c r="K11" s="36">
        <f>1000</f>
        <v>1000</v>
      </c>
      <c r="L11" s="36">
        <f>1000</f>
        <v>1000</v>
      </c>
      <c r="M11" s="36">
        <f>1000</f>
        <v>1000</v>
      </c>
      <c r="N11" s="36">
        <f>1000</f>
        <v>1000</v>
      </c>
      <c r="O11" s="36">
        <f>1000</f>
        <v>1000</v>
      </c>
      <c r="P11" s="36">
        <f>1000</f>
        <v>1000</v>
      </c>
      <c r="Q11" s="36">
        <f>1000</f>
        <v>1000</v>
      </c>
      <c r="R11" s="36">
        <f>1000</f>
        <v>1000</v>
      </c>
      <c r="S11" s="38">
        <f>1000</f>
        <v>1000</v>
      </c>
    </row>
    <row r="12" spans="1:19" ht="18">
      <c r="A12" s="25" t="s">
        <v>4</v>
      </c>
      <c r="B12" s="84">
        <v>19.1</v>
      </c>
      <c r="C12" s="19">
        <v>21.95</v>
      </c>
      <c r="D12" s="115">
        <v>5.5</v>
      </c>
      <c r="E12" s="116"/>
      <c r="G12" s="52" t="s">
        <v>46</v>
      </c>
      <c r="H12" s="38">
        <v>50</v>
      </c>
      <c r="I12" s="36">
        <v>50</v>
      </c>
      <c r="J12" s="36">
        <v>50</v>
      </c>
      <c r="K12" s="36">
        <v>50</v>
      </c>
      <c r="L12" s="36">
        <v>50</v>
      </c>
      <c r="M12" s="36">
        <v>50</v>
      </c>
      <c r="N12" s="36">
        <v>50</v>
      </c>
      <c r="O12" s="36">
        <v>50</v>
      </c>
      <c r="P12" s="36">
        <v>50</v>
      </c>
      <c r="Q12" s="36">
        <v>50</v>
      </c>
      <c r="R12" s="36">
        <v>50</v>
      </c>
      <c r="S12" s="38">
        <v>50</v>
      </c>
    </row>
    <row r="13" spans="1:19" ht="18">
      <c r="A13" s="13" t="s">
        <v>5</v>
      </c>
      <c r="B13" s="84">
        <v>23.2</v>
      </c>
      <c r="C13" s="18">
        <v>23.81</v>
      </c>
      <c r="D13" s="115">
        <v>5.66</v>
      </c>
      <c r="E13" s="116"/>
      <c r="G13" s="52" t="s">
        <v>50</v>
      </c>
      <c r="H13" s="38">
        <v>11.5</v>
      </c>
      <c r="I13" s="36">
        <v>11.6</v>
      </c>
      <c r="J13" s="36">
        <v>12.9</v>
      </c>
      <c r="K13" s="36">
        <v>15.1</v>
      </c>
      <c r="L13" s="36">
        <v>19.1</v>
      </c>
      <c r="M13" s="36">
        <v>22.8</v>
      </c>
      <c r="N13" s="36">
        <v>26.2</v>
      </c>
      <c r="O13" s="36">
        <v>26.3</v>
      </c>
      <c r="P13" s="36">
        <v>23.5</v>
      </c>
      <c r="Q13" s="36">
        <v>19.7</v>
      </c>
      <c r="R13" s="36">
        <v>15.8</v>
      </c>
      <c r="S13" s="38">
        <v>12.5</v>
      </c>
    </row>
    <row r="14" spans="1:19" ht="18">
      <c r="A14" s="26" t="s">
        <v>6</v>
      </c>
      <c r="B14" s="84">
        <v>25.8</v>
      </c>
      <c r="C14" s="18">
        <v>23.72</v>
      </c>
      <c r="D14" s="115">
        <v>5.75</v>
      </c>
      <c r="E14" s="116"/>
      <c r="G14" s="54" t="s">
        <v>43</v>
      </c>
      <c r="H14" s="39">
        <f>1.162*10^-3</f>
        <v>0.0011619999999999998</v>
      </c>
      <c r="I14" s="37">
        <f aca="true" t="shared" si="1" ref="I14:S14">1.162*10^-3</f>
        <v>0.0011619999999999998</v>
      </c>
      <c r="J14" s="37">
        <f t="shared" si="1"/>
        <v>0.0011619999999999998</v>
      </c>
      <c r="K14" s="37">
        <f t="shared" si="1"/>
        <v>0.0011619999999999998</v>
      </c>
      <c r="L14" s="37">
        <f t="shared" si="1"/>
        <v>0.0011619999999999998</v>
      </c>
      <c r="M14" s="37">
        <f t="shared" si="1"/>
        <v>0.0011619999999999998</v>
      </c>
      <c r="N14" s="37">
        <f t="shared" si="1"/>
        <v>0.0011619999999999998</v>
      </c>
      <c r="O14" s="37">
        <f t="shared" si="1"/>
        <v>0.0011619999999999998</v>
      </c>
      <c r="P14" s="37">
        <f t="shared" si="1"/>
        <v>0.0011619999999999998</v>
      </c>
      <c r="Q14" s="37">
        <f t="shared" si="1"/>
        <v>0.0011619999999999998</v>
      </c>
      <c r="R14" s="37">
        <f t="shared" si="1"/>
        <v>0.0011619999999999998</v>
      </c>
      <c r="S14" s="39">
        <f t="shared" si="1"/>
        <v>0.0011619999999999998</v>
      </c>
    </row>
    <row r="15" spans="1:19" ht="15.75" customHeight="1">
      <c r="A15" s="13" t="s">
        <v>7</v>
      </c>
      <c r="B15" s="84">
        <v>26.3</v>
      </c>
      <c r="C15" s="18">
        <v>20.79</v>
      </c>
      <c r="D15" s="115">
        <v>5.54</v>
      </c>
      <c r="E15" s="116"/>
      <c r="G15" s="51" t="s">
        <v>44</v>
      </c>
      <c r="H15" s="38">
        <f aca="true" t="shared" si="2" ref="H15:S15">(H9*(H12-H13))*H10</f>
        <v>119.35000000000001</v>
      </c>
      <c r="I15" s="36">
        <f t="shared" si="2"/>
        <v>107.52</v>
      </c>
      <c r="J15" s="36">
        <f t="shared" si="2"/>
        <v>115.01000000000002</v>
      </c>
      <c r="K15" s="36">
        <f t="shared" si="2"/>
        <v>104.7</v>
      </c>
      <c r="L15" s="36">
        <f t="shared" si="2"/>
        <v>95.78999999999999</v>
      </c>
      <c r="M15" s="36">
        <f t="shared" si="2"/>
        <v>81.60000000000001</v>
      </c>
      <c r="N15" s="36">
        <f t="shared" si="2"/>
        <v>73.78000000000002</v>
      </c>
      <c r="O15" s="36">
        <f t="shared" si="2"/>
        <v>73.47</v>
      </c>
      <c r="P15" s="36">
        <f t="shared" si="2"/>
        <v>79.50000000000001</v>
      </c>
      <c r="Q15" s="36">
        <f t="shared" si="2"/>
        <v>93.93</v>
      </c>
      <c r="R15" s="36">
        <f t="shared" si="2"/>
        <v>102.60000000000001</v>
      </c>
      <c r="S15" s="38">
        <f t="shared" si="2"/>
        <v>116.25</v>
      </c>
    </row>
    <row r="16" spans="1:24" ht="18">
      <c r="A16" s="25" t="s">
        <v>8</v>
      </c>
      <c r="B16" s="84">
        <v>23.9</v>
      </c>
      <c r="C16" s="18">
        <v>16.03</v>
      </c>
      <c r="D16" s="115">
        <v>4.85</v>
      </c>
      <c r="E16" s="116"/>
      <c r="G16" s="34" t="s">
        <v>48</v>
      </c>
      <c r="H16" s="44">
        <f aca="true" t="shared" si="3" ref="H16:S16">H15*$H$11*$H$14</f>
        <v>138.6847</v>
      </c>
      <c r="I16" s="44">
        <f t="shared" si="3"/>
        <v>124.93823999999998</v>
      </c>
      <c r="J16" s="44">
        <f t="shared" si="3"/>
        <v>133.64162</v>
      </c>
      <c r="K16" s="44">
        <f t="shared" si="3"/>
        <v>121.66139999999999</v>
      </c>
      <c r="L16" s="44">
        <f t="shared" si="3"/>
        <v>111.30797999999997</v>
      </c>
      <c r="M16" s="44">
        <f t="shared" si="3"/>
        <v>94.81920000000001</v>
      </c>
      <c r="N16" s="44">
        <f t="shared" si="3"/>
        <v>85.73236</v>
      </c>
      <c r="O16" s="44">
        <f t="shared" si="3"/>
        <v>85.37213999999999</v>
      </c>
      <c r="P16" s="44">
        <f t="shared" si="3"/>
        <v>92.379</v>
      </c>
      <c r="Q16" s="44">
        <f t="shared" si="3"/>
        <v>109.14665999999998</v>
      </c>
      <c r="R16" s="44">
        <f t="shared" si="3"/>
        <v>119.2212</v>
      </c>
      <c r="S16" s="44">
        <f t="shared" si="3"/>
        <v>135.08249999999998</v>
      </c>
      <c r="X16" s="58"/>
    </row>
    <row r="17" spans="1:8" ht="15" customHeight="1">
      <c r="A17" s="13" t="s">
        <v>26</v>
      </c>
      <c r="B17" s="84">
        <v>20</v>
      </c>
      <c r="C17" s="18">
        <v>12.23</v>
      </c>
      <c r="D17" s="115">
        <v>4.44</v>
      </c>
      <c r="E17" s="116"/>
      <c r="G17" s="54" t="s">
        <v>51</v>
      </c>
      <c r="H17" s="48">
        <f>SUM(H15:S15)</f>
        <v>1163.5</v>
      </c>
    </row>
    <row r="18" spans="1:8" ht="18.75" thickBot="1">
      <c r="A18" s="26" t="s">
        <v>10</v>
      </c>
      <c r="B18" s="84">
        <v>16.6</v>
      </c>
      <c r="C18" s="18">
        <v>8.02</v>
      </c>
      <c r="D18" s="115">
        <v>3.43</v>
      </c>
      <c r="E18" s="116"/>
      <c r="G18" s="55" t="s">
        <v>45</v>
      </c>
      <c r="H18" s="47">
        <f>H11*H14*H17</f>
        <v>1351.9869999999999</v>
      </c>
    </row>
    <row r="19" spans="1:13" ht="19.5" thickBot="1">
      <c r="A19" s="27" t="s">
        <v>11</v>
      </c>
      <c r="B19" s="91">
        <v>13.1</v>
      </c>
      <c r="C19" s="20">
        <v>6.45</v>
      </c>
      <c r="D19" s="130">
        <v>3.09</v>
      </c>
      <c r="E19" s="131"/>
      <c r="L19" s="32"/>
      <c r="M19" s="33"/>
    </row>
    <row r="20" spans="1:13" ht="18.75">
      <c r="A20" s="24"/>
      <c r="B20" s="92"/>
      <c r="C20" s="15"/>
      <c r="D20" s="30"/>
      <c r="E20" s="22"/>
      <c r="I20" s="6"/>
      <c r="J20" s="6"/>
      <c r="L20" s="32"/>
      <c r="M20" s="33"/>
    </row>
    <row r="21" spans="1:12" ht="15.75" thickBot="1">
      <c r="A21" s="3" t="s">
        <v>27</v>
      </c>
      <c r="B21" s="87">
        <f>AVERAGE(B8:B19)</f>
        <v>18.316666666666666</v>
      </c>
      <c r="C21" s="23"/>
      <c r="D21" s="17"/>
      <c r="E21" s="83"/>
      <c r="I21" s="6"/>
      <c r="J21" s="6"/>
      <c r="L21" s="31"/>
    </row>
    <row r="22" spans="1:10" ht="15">
      <c r="A22" s="14" t="s">
        <v>33</v>
      </c>
      <c r="B22" s="86"/>
      <c r="C22" s="19">
        <f>AVERAGE(C8:C19)</f>
        <v>15.299166666666665</v>
      </c>
      <c r="D22" s="126">
        <f>AVERAGE(D8:E19)</f>
        <v>4.625833333333333</v>
      </c>
      <c r="E22" s="127"/>
      <c r="I22" s="6"/>
      <c r="J22" s="6"/>
    </row>
    <row r="23" spans="1:5" ht="15.75" thickBot="1">
      <c r="A23" s="16" t="s">
        <v>34</v>
      </c>
      <c r="B23" s="17"/>
      <c r="C23" s="20">
        <f>C22*365</f>
        <v>5584.195833333332</v>
      </c>
      <c r="D23" s="128">
        <f>AVERAGE(D8:E19)*365.25</f>
        <v>1689.5856249999997</v>
      </c>
      <c r="E23" s="129"/>
    </row>
    <row r="24" spans="16:28" ht="15">
      <c r="P24" s="43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6:28" ht="15"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8" ht="15.75" thickBot="1"/>
    <row r="29" spans="8:18" ht="19.5" thickBot="1">
      <c r="H29" s="7" t="s">
        <v>12</v>
      </c>
      <c r="I29" s="7" t="s">
        <v>35</v>
      </c>
      <c r="J29" s="7" t="s">
        <v>36</v>
      </c>
      <c r="K29" s="7" t="s">
        <v>37</v>
      </c>
      <c r="L29" s="7" t="s">
        <v>38</v>
      </c>
      <c r="M29" s="7" t="s">
        <v>52</v>
      </c>
      <c r="N29" s="7" t="s">
        <v>30</v>
      </c>
      <c r="O29" s="7" t="s">
        <v>65</v>
      </c>
      <c r="P29" s="7" t="s">
        <v>13</v>
      </c>
      <c r="Q29" s="7" t="s">
        <v>14</v>
      </c>
      <c r="R29" s="10" t="s">
        <v>29</v>
      </c>
    </row>
    <row r="30" spans="1:22" ht="16.5" thickBot="1">
      <c r="A30" s="125" t="s">
        <v>59</v>
      </c>
      <c r="B30" s="125"/>
      <c r="G30" s="63" t="s">
        <v>0</v>
      </c>
      <c r="H30" s="64">
        <v>0.8</v>
      </c>
      <c r="I30" s="65">
        <f>$B$38*$B$39</f>
        <v>1.86</v>
      </c>
      <c r="J30" s="65">
        <f>$B$36</f>
        <v>3.6</v>
      </c>
      <c r="K30" s="65">
        <f aca="true" t="shared" si="4" ref="K30:K41">B8</f>
        <v>11.5</v>
      </c>
      <c r="L30" s="66">
        <f>31</f>
        <v>31</v>
      </c>
      <c r="M30" s="67">
        <f>H16</f>
        <v>138.6847</v>
      </c>
      <c r="N30" s="66">
        <f>$B$35</f>
        <v>0.761</v>
      </c>
      <c r="O30" s="65">
        <f>D8</f>
        <v>3.33</v>
      </c>
      <c r="P30" s="67">
        <f>(H30*I30*J30*(100-K30)*24*L30)/(1000*M30)</f>
        <v>2.543273621387219</v>
      </c>
      <c r="Q30" s="67">
        <f>(H30*I30*N30*O30*L30)/M30</f>
        <v>0.842878476428907</v>
      </c>
      <c r="R30" s="76">
        <f aca="true" t="shared" si="5" ref="R30:R41">IF((1.029*Q30)-(0.065*P30)-(0.245*(Q30)^2)+(0.0018*(P30)^2)+(0.0215*(Q30)^3)&gt;1,1,(1.029*Q30)-(0.065*P30)-(0.245*(Q30)^2)+(0.0018*(P30)^2)+(0.0215*(Q30)^3))</f>
        <v>0.5524677776068444</v>
      </c>
      <c r="V30" s="57"/>
    </row>
    <row r="31" spans="7:22" ht="16.5" customHeight="1" thickBot="1">
      <c r="G31" s="68" t="s">
        <v>1</v>
      </c>
      <c r="H31" s="64">
        <v>0.8</v>
      </c>
      <c r="I31" s="65">
        <f aca="true" t="shared" si="6" ref="I31:I41">$B$38*$B$39</f>
        <v>1.86</v>
      </c>
      <c r="J31" s="65">
        <f aca="true" t="shared" si="7" ref="J31:J41">$B$36</f>
        <v>3.6</v>
      </c>
      <c r="K31" s="65">
        <f t="shared" si="4"/>
        <v>11.8</v>
      </c>
      <c r="L31" s="66">
        <f>28</f>
        <v>28</v>
      </c>
      <c r="M31" s="67">
        <f>I16</f>
        <v>124.93823999999998</v>
      </c>
      <c r="N31" s="66">
        <f aca="true" t="shared" si="8" ref="N31:N41">$B$35</f>
        <v>0.761</v>
      </c>
      <c r="O31" s="65">
        <f aca="true" t="shared" si="9" ref="O31:O41">D9</f>
        <v>4.09</v>
      </c>
      <c r="P31" s="67">
        <f aca="true" t="shared" si="10" ref="P31:P41">(H31*I31*J31*(100-K31)*24*L31)/(1000*M31)</f>
        <v>2.5412530120481938</v>
      </c>
      <c r="Q31" s="67">
        <f aca="true" t="shared" si="11" ref="Q31:Q41">(H31*I31*N31*O31*L31)/M31</f>
        <v>1.0379430938037868</v>
      </c>
      <c r="R31" s="76">
        <f t="shared" si="5"/>
        <v>0.6745828642061795</v>
      </c>
      <c r="V31" s="57"/>
    </row>
    <row r="32" spans="1:22" ht="16.5" thickBot="1">
      <c r="A32" s="60" t="s">
        <v>53</v>
      </c>
      <c r="B32" s="59">
        <v>0.95</v>
      </c>
      <c r="G32" s="68" t="s">
        <v>2</v>
      </c>
      <c r="H32" s="64">
        <v>0.8</v>
      </c>
      <c r="I32" s="65">
        <f t="shared" si="6"/>
        <v>1.86</v>
      </c>
      <c r="J32" s="65">
        <f t="shared" si="7"/>
        <v>3.6</v>
      </c>
      <c r="K32" s="65">
        <f t="shared" si="4"/>
        <v>13.2</v>
      </c>
      <c r="L32" s="66">
        <f>31</f>
        <v>31</v>
      </c>
      <c r="M32" s="67">
        <f>J16</f>
        <v>133.64162</v>
      </c>
      <c r="N32" s="66">
        <f t="shared" si="8"/>
        <v>0.761</v>
      </c>
      <c r="O32" s="65">
        <f t="shared" si="9"/>
        <v>4.7</v>
      </c>
      <c r="P32" s="67">
        <f t="shared" si="10"/>
        <v>2.5885488260318907</v>
      </c>
      <c r="Q32" s="67">
        <f t="shared" si="11"/>
        <v>1.2345406887465151</v>
      </c>
      <c r="R32" s="76">
        <f t="shared" si="5"/>
        <v>0.7811988915373981</v>
      </c>
      <c r="V32" s="57"/>
    </row>
    <row r="33" spans="1:22" ht="16.5" thickBot="1">
      <c r="A33" s="60" t="s">
        <v>54</v>
      </c>
      <c r="B33" s="59">
        <v>0.05</v>
      </c>
      <c r="G33" s="68" t="s">
        <v>3</v>
      </c>
      <c r="H33" s="64">
        <v>0.8</v>
      </c>
      <c r="I33" s="65">
        <f t="shared" si="6"/>
        <v>1.86</v>
      </c>
      <c r="J33" s="65">
        <f t="shared" si="7"/>
        <v>3.6</v>
      </c>
      <c r="K33" s="65">
        <f t="shared" si="4"/>
        <v>15.3</v>
      </c>
      <c r="L33" s="66">
        <f>30</f>
        <v>30</v>
      </c>
      <c r="M33" s="67">
        <f>K16</f>
        <v>121.66139999999999</v>
      </c>
      <c r="N33" s="66">
        <f t="shared" si="8"/>
        <v>0.761</v>
      </c>
      <c r="O33" s="65">
        <f t="shared" si="9"/>
        <v>5.13</v>
      </c>
      <c r="P33" s="67">
        <f t="shared" si="10"/>
        <v>2.6851498601857293</v>
      </c>
      <c r="Q33" s="67">
        <f t="shared" si="11"/>
        <v>1.432429967105426</v>
      </c>
      <c r="R33" s="76">
        <f t="shared" si="5"/>
        <v>0.8729006227113167</v>
      </c>
      <c r="V33" s="57"/>
    </row>
    <row r="34" spans="1:22" ht="16.5" thickBot="1">
      <c r="A34" s="61"/>
      <c r="B34" s="31"/>
      <c r="G34" s="68" t="s">
        <v>4</v>
      </c>
      <c r="H34" s="64">
        <v>0.8</v>
      </c>
      <c r="I34" s="65">
        <f t="shared" si="6"/>
        <v>1.86</v>
      </c>
      <c r="J34" s="65">
        <f t="shared" si="7"/>
        <v>3.6</v>
      </c>
      <c r="K34" s="65">
        <f t="shared" si="4"/>
        <v>19.1</v>
      </c>
      <c r="L34" s="66">
        <f>31</f>
        <v>31</v>
      </c>
      <c r="M34" s="67">
        <f>L16</f>
        <v>111.30797999999997</v>
      </c>
      <c r="N34" s="66">
        <f t="shared" si="8"/>
        <v>0.761</v>
      </c>
      <c r="O34" s="65">
        <f t="shared" si="9"/>
        <v>5.5</v>
      </c>
      <c r="P34" s="67">
        <f t="shared" si="10"/>
        <v>2.8966804471700964</v>
      </c>
      <c r="Q34" s="67">
        <f t="shared" si="11"/>
        <v>1.7345453937803927</v>
      </c>
      <c r="R34" s="76">
        <f t="shared" si="5"/>
        <v>0.9867483277476969</v>
      </c>
      <c r="V34" s="57"/>
    </row>
    <row r="35" spans="1:22" ht="16.5" thickBot="1">
      <c r="A35" s="60" t="s">
        <v>55</v>
      </c>
      <c r="B35" s="69">
        <v>0.761</v>
      </c>
      <c r="G35" s="68" t="s">
        <v>5</v>
      </c>
      <c r="H35" s="64">
        <v>0.8</v>
      </c>
      <c r="I35" s="65">
        <f t="shared" si="6"/>
        <v>1.86</v>
      </c>
      <c r="J35" s="65">
        <f t="shared" si="7"/>
        <v>3.6</v>
      </c>
      <c r="K35" s="65">
        <f t="shared" si="4"/>
        <v>23.2</v>
      </c>
      <c r="L35" s="66">
        <f>30</f>
        <v>30</v>
      </c>
      <c r="M35" s="67">
        <f>M16</f>
        <v>94.81920000000001</v>
      </c>
      <c r="N35" s="66">
        <f t="shared" si="8"/>
        <v>0.761</v>
      </c>
      <c r="O35" s="65">
        <f t="shared" si="9"/>
        <v>5.66</v>
      </c>
      <c r="P35" s="67">
        <f t="shared" si="10"/>
        <v>3.1239412777159052</v>
      </c>
      <c r="Q35" s="67">
        <f t="shared" si="11"/>
        <v>2.0278180621646253</v>
      </c>
      <c r="R35" s="76">
        <f t="shared" si="5"/>
        <v>1</v>
      </c>
      <c r="V35" s="57"/>
    </row>
    <row r="36" spans="1:22" ht="18.75" thickBot="1">
      <c r="A36" s="60" t="s">
        <v>58</v>
      </c>
      <c r="B36" s="69">
        <v>3.6</v>
      </c>
      <c r="G36" s="62" t="s">
        <v>6</v>
      </c>
      <c r="H36" s="64">
        <v>0.8</v>
      </c>
      <c r="I36" s="65">
        <f t="shared" si="6"/>
        <v>1.86</v>
      </c>
      <c r="J36" s="65">
        <f t="shared" si="7"/>
        <v>3.6</v>
      </c>
      <c r="K36" s="65">
        <f t="shared" si="4"/>
        <v>25.8</v>
      </c>
      <c r="L36" s="66">
        <f>31</f>
        <v>31</v>
      </c>
      <c r="M36" s="67">
        <f>N16</f>
        <v>85.73236</v>
      </c>
      <c r="N36" s="66">
        <f t="shared" si="8"/>
        <v>0.761</v>
      </c>
      <c r="O36" s="65">
        <f t="shared" si="9"/>
        <v>5.75</v>
      </c>
      <c r="P36" s="67">
        <f t="shared" si="10"/>
        <v>3.4493518274779795</v>
      </c>
      <c r="Q36" s="67">
        <f t="shared" si="11"/>
        <v>2.3543571645525683</v>
      </c>
      <c r="R36" s="76">
        <f t="shared" si="5"/>
        <v>1</v>
      </c>
      <c r="V36" s="57"/>
    </row>
    <row r="37" spans="1:22" ht="18.75" thickBot="1">
      <c r="A37" s="60" t="s">
        <v>56</v>
      </c>
      <c r="B37" s="1">
        <v>2</v>
      </c>
      <c r="G37" s="68" t="s">
        <v>28</v>
      </c>
      <c r="H37" s="64">
        <v>0.8</v>
      </c>
      <c r="I37" s="65">
        <f t="shared" si="6"/>
        <v>1.86</v>
      </c>
      <c r="J37" s="65">
        <f t="shared" si="7"/>
        <v>3.6</v>
      </c>
      <c r="K37" s="65">
        <f t="shared" si="4"/>
        <v>26.3</v>
      </c>
      <c r="L37" s="66">
        <f>31</f>
        <v>31</v>
      </c>
      <c r="M37" s="67">
        <f>O16</f>
        <v>85.37213999999999</v>
      </c>
      <c r="N37" s="66">
        <f t="shared" si="8"/>
        <v>0.761</v>
      </c>
      <c r="O37" s="65">
        <f t="shared" si="9"/>
        <v>5.54</v>
      </c>
      <c r="P37" s="67">
        <f t="shared" si="10"/>
        <v>3.4405643695941097</v>
      </c>
      <c r="Q37" s="67">
        <f t="shared" si="11"/>
        <v>2.2779431360160363</v>
      </c>
      <c r="R37" s="76">
        <f t="shared" si="5"/>
        <v>1</v>
      </c>
      <c r="V37" s="57"/>
    </row>
    <row r="38" spans="1:22" ht="18.75" thickBot="1">
      <c r="A38" s="60" t="s">
        <v>57</v>
      </c>
      <c r="B38" s="69">
        <v>1.86</v>
      </c>
      <c r="G38" s="68" t="s">
        <v>8</v>
      </c>
      <c r="H38" s="64">
        <v>0.8</v>
      </c>
      <c r="I38" s="65">
        <f t="shared" si="6"/>
        <v>1.86</v>
      </c>
      <c r="J38" s="65">
        <f t="shared" si="7"/>
        <v>3.6</v>
      </c>
      <c r="K38" s="65">
        <f t="shared" si="4"/>
        <v>23.9</v>
      </c>
      <c r="L38" s="66">
        <f>30</f>
        <v>30</v>
      </c>
      <c r="M38" s="67">
        <f>P16</f>
        <v>92.379</v>
      </c>
      <c r="N38" s="66">
        <f t="shared" si="8"/>
        <v>0.761</v>
      </c>
      <c r="O38" s="65">
        <f t="shared" si="9"/>
        <v>4.85</v>
      </c>
      <c r="P38" s="67">
        <f t="shared" si="10"/>
        <v>3.1772349300165628</v>
      </c>
      <c r="Q38" s="67">
        <f t="shared" si="11"/>
        <v>1.7835172928912417</v>
      </c>
      <c r="R38" s="76">
        <f t="shared" si="5"/>
        <v>0.9895357789311628</v>
      </c>
      <c r="V38" s="57"/>
    </row>
    <row r="39" spans="1:22" ht="16.5" customHeight="1" thickBot="1">
      <c r="A39" s="60" t="s">
        <v>60</v>
      </c>
      <c r="B39" s="74">
        <v>1</v>
      </c>
      <c r="G39" s="62" t="s">
        <v>9</v>
      </c>
      <c r="H39" s="64">
        <v>0.8</v>
      </c>
      <c r="I39" s="65">
        <f t="shared" si="6"/>
        <v>1.86</v>
      </c>
      <c r="J39" s="65">
        <f t="shared" si="7"/>
        <v>3.6</v>
      </c>
      <c r="K39" s="65">
        <f t="shared" si="4"/>
        <v>20</v>
      </c>
      <c r="L39" s="66">
        <f>31</f>
        <v>31</v>
      </c>
      <c r="M39" s="67">
        <f>Q16</f>
        <v>109.14665999999998</v>
      </c>
      <c r="N39" s="66">
        <f t="shared" si="8"/>
        <v>0.761</v>
      </c>
      <c r="O39" s="65">
        <f t="shared" si="9"/>
        <v>4.44</v>
      </c>
      <c r="P39" s="67">
        <f t="shared" si="10"/>
        <v>2.921177212385611</v>
      </c>
      <c r="Q39" s="67">
        <f t="shared" si="11"/>
        <v>1.4279789369642653</v>
      </c>
      <c r="R39" s="76">
        <f t="shared" si="5"/>
        <v>0.8578926196441342</v>
      </c>
      <c r="V39" s="57"/>
    </row>
    <row r="40" spans="7:22" ht="18" customHeight="1" thickBot="1">
      <c r="G40" s="68" t="s">
        <v>10</v>
      </c>
      <c r="H40" s="64">
        <v>0.8</v>
      </c>
      <c r="I40" s="65">
        <f t="shared" si="6"/>
        <v>1.86</v>
      </c>
      <c r="J40" s="65">
        <f t="shared" si="7"/>
        <v>3.6</v>
      </c>
      <c r="K40" s="65">
        <f t="shared" si="4"/>
        <v>16.6</v>
      </c>
      <c r="L40" s="66">
        <v>30</v>
      </c>
      <c r="M40" s="67">
        <f>R16</f>
        <v>119.2212</v>
      </c>
      <c r="N40" s="66">
        <f t="shared" si="8"/>
        <v>0.761</v>
      </c>
      <c r="O40" s="65">
        <f t="shared" si="9"/>
        <v>3.43</v>
      </c>
      <c r="P40" s="67">
        <f t="shared" si="10"/>
        <v>2.6980530845185258</v>
      </c>
      <c r="Q40" s="67">
        <f t="shared" si="11"/>
        <v>0.9773485521031497</v>
      </c>
      <c r="R40" s="76">
        <f t="shared" si="5"/>
        <v>0.6294666212273106</v>
      </c>
      <c r="V40" s="57"/>
    </row>
    <row r="41" spans="7:22" ht="17.25" customHeight="1" thickBot="1">
      <c r="G41" s="68" t="s">
        <v>11</v>
      </c>
      <c r="H41" s="64">
        <v>0.8</v>
      </c>
      <c r="I41" s="75">
        <f t="shared" si="6"/>
        <v>1.86</v>
      </c>
      <c r="J41" s="65">
        <f t="shared" si="7"/>
        <v>3.6</v>
      </c>
      <c r="K41" s="65">
        <f t="shared" si="4"/>
        <v>13.1</v>
      </c>
      <c r="L41" s="66">
        <f>31</f>
        <v>31</v>
      </c>
      <c r="M41" s="67">
        <f>S16</f>
        <v>135.08249999999998</v>
      </c>
      <c r="N41" s="66">
        <f t="shared" si="8"/>
        <v>0.761</v>
      </c>
      <c r="O41" s="65">
        <f t="shared" si="9"/>
        <v>3.09</v>
      </c>
      <c r="P41" s="67">
        <f t="shared" si="10"/>
        <v>2.5638880275387277</v>
      </c>
      <c r="Q41" s="67">
        <f t="shared" si="11"/>
        <v>0.8029872908777972</v>
      </c>
      <c r="R41" s="77">
        <f t="shared" si="5"/>
        <v>0.5246121118281171</v>
      </c>
      <c r="V41" s="57"/>
    </row>
    <row r="42" spans="9:12" ht="15.75" thickBot="1">
      <c r="I42" s="70"/>
      <c r="L42" s="46">
        <f>SUM(L30:L41)</f>
        <v>365</v>
      </c>
    </row>
    <row r="43" spans="12:18" ht="18.75" thickBot="1">
      <c r="L43" s="73"/>
      <c r="R43" s="10" t="s">
        <v>31</v>
      </c>
    </row>
    <row r="44" spans="12:18" ht="15.75" thickBot="1">
      <c r="L44" s="73"/>
      <c r="R44" s="78">
        <f>(R30*M30+R31*M31+R32*M32+R33*M33+R34*M34+R35*M35+R36*M36+R37*M37+R38*M38+R39*M39+R40*M40+R41*M41)/(M30+M31+M32+M33+M34+M35+M37+M36+M38+M39+M40+M41)</f>
        <v>0.7975045658543274</v>
      </c>
    </row>
    <row r="45" ht="15">
      <c r="L45" s="73"/>
    </row>
    <row r="46" ht="15">
      <c r="S46" s="71"/>
    </row>
    <row r="47" ht="15.75" thickBot="1">
      <c r="S47" s="72"/>
    </row>
    <row r="48" spans="2:3" ht="18.75" thickBot="1">
      <c r="B48" s="45" t="s">
        <v>61</v>
      </c>
      <c r="C48" s="7" t="s">
        <v>62</v>
      </c>
    </row>
    <row r="49" spans="1:3" ht="15.75" thickBot="1">
      <c r="A49" s="8" t="s">
        <v>0</v>
      </c>
      <c r="B49" s="4">
        <f>H16</f>
        <v>138.6847</v>
      </c>
      <c r="C49" s="40">
        <f aca="true" t="shared" si="12" ref="C49:C60">B49*R30</f>
        <v>76.61882799707193</v>
      </c>
    </row>
    <row r="50" spans="1:3" ht="15.75" thickBot="1">
      <c r="A50" s="7" t="s">
        <v>1</v>
      </c>
      <c r="B50" s="4">
        <f>I16</f>
        <v>124.93823999999998</v>
      </c>
      <c r="C50" s="40">
        <f t="shared" si="12"/>
        <v>84.28119578807905</v>
      </c>
    </row>
    <row r="51" spans="1:3" ht="15.75" thickBot="1">
      <c r="A51" s="7" t="s">
        <v>2</v>
      </c>
      <c r="B51" s="4">
        <f>J16</f>
        <v>133.64162</v>
      </c>
      <c r="C51" s="40">
        <f t="shared" si="12"/>
        <v>104.40068540726216</v>
      </c>
    </row>
    <row r="52" spans="1:3" ht="15.75" thickBot="1">
      <c r="A52" s="7" t="s">
        <v>3</v>
      </c>
      <c r="B52" s="4">
        <f>K16</f>
        <v>121.66139999999999</v>
      </c>
      <c r="C52" s="40">
        <f t="shared" si="12"/>
        <v>106.19831181993058</v>
      </c>
    </row>
    <row r="53" spans="1:3" ht="15.75" thickBot="1">
      <c r="A53" s="7" t="s">
        <v>4</v>
      </c>
      <c r="B53" s="4">
        <f>L16</f>
        <v>111.30797999999997</v>
      </c>
      <c r="C53" s="40">
        <f t="shared" si="12"/>
        <v>109.83296312997408</v>
      </c>
    </row>
    <row r="54" spans="1:3" ht="15.75" thickBot="1">
      <c r="A54" s="7" t="s">
        <v>5</v>
      </c>
      <c r="B54" s="4">
        <f>M16</f>
        <v>94.81920000000001</v>
      </c>
      <c r="C54" s="40">
        <f t="shared" si="12"/>
        <v>94.81920000000001</v>
      </c>
    </row>
    <row r="55" spans="1:3" ht="15.75" thickBot="1">
      <c r="A55" s="9" t="s">
        <v>6</v>
      </c>
      <c r="B55" s="4">
        <f>N16</f>
        <v>85.73236</v>
      </c>
      <c r="C55" s="40">
        <f t="shared" si="12"/>
        <v>85.73236</v>
      </c>
    </row>
    <row r="56" spans="1:3" ht="15.75" thickBot="1">
      <c r="A56" s="7" t="s">
        <v>28</v>
      </c>
      <c r="B56" s="4">
        <f>O16</f>
        <v>85.37213999999999</v>
      </c>
      <c r="C56" s="40">
        <f t="shared" si="12"/>
        <v>85.37213999999999</v>
      </c>
    </row>
    <row r="57" spans="1:3" ht="15.75" thickBot="1">
      <c r="A57" s="7" t="s">
        <v>8</v>
      </c>
      <c r="B57" s="4">
        <f>P16</f>
        <v>92.379</v>
      </c>
      <c r="C57" s="40">
        <f t="shared" si="12"/>
        <v>91.4123257218819</v>
      </c>
    </row>
    <row r="58" spans="1:3" ht="15.75" thickBot="1">
      <c r="A58" s="9" t="s">
        <v>9</v>
      </c>
      <c r="B58" s="4">
        <f>Q16</f>
        <v>109.14665999999998</v>
      </c>
      <c r="C58" s="40">
        <f t="shared" si="12"/>
        <v>93.63611407280763</v>
      </c>
    </row>
    <row r="59" spans="1:3" ht="15.75" thickBot="1">
      <c r="A59" s="7" t="s">
        <v>10</v>
      </c>
      <c r="B59" s="4">
        <f>R16</f>
        <v>119.2212</v>
      </c>
      <c r="C59" s="40">
        <f t="shared" si="12"/>
        <v>75.04576594266544</v>
      </c>
    </row>
    <row r="60" spans="1:5" ht="15.75" thickBot="1">
      <c r="A60" s="7" t="s">
        <v>11</v>
      </c>
      <c r="B60" s="5">
        <f>S16</f>
        <v>135.08249999999998</v>
      </c>
      <c r="C60" s="41">
        <f t="shared" si="12"/>
        <v>70.86591559602161</v>
      </c>
      <c r="E60" t="s">
        <v>32</v>
      </c>
    </row>
    <row r="61" spans="2:5" ht="15.75" customHeight="1">
      <c r="B61" s="42">
        <f>SUM(B49:B60)</f>
        <v>1351.9869999999996</v>
      </c>
      <c r="C61" s="42">
        <f>SUM(C49:C60)</f>
        <v>1078.2158054756942</v>
      </c>
      <c r="E61" s="42">
        <f>B61-C61</f>
        <v>273.77119452430543</v>
      </c>
    </row>
  </sheetData>
  <sheetProtection/>
  <mergeCells count="24">
    <mergeCell ref="A30:B30"/>
    <mergeCell ref="D22:E22"/>
    <mergeCell ref="D23:E23"/>
    <mergeCell ref="D18:E18"/>
    <mergeCell ref="D19:E19"/>
    <mergeCell ref="D16:E16"/>
    <mergeCell ref="D17:E17"/>
    <mergeCell ref="H7:S7"/>
    <mergeCell ref="H8:S8"/>
    <mergeCell ref="D13:E13"/>
    <mergeCell ref="D14:E14"/>
    <mergeCell ref="D15:E15"/>
    <mergeCell ref="D8:E8"/>
    <mergeCell ref="D9:E9"/>
    <mergeCell ref="D10:E10"/>
    <mergeCell ref="D11:E11"/>
    <mergeCell ref="D12:E12"/>
    <mergeCell ref="A1:E2"/>
    <mergeCell ref="C6:C7"/>
    <mergeCell ref="B5:B7"/>
    <mergeCell ref="D5:E5"/>
    <mergeCell ref="A3:E3"/>
    <mergeCell ref="C4:E4"/>
    <mergeCell ref="A4:A7"/>
  </mergeCells>
  <printOptions/>
  <pageMargins left="0.7" right="0.7" top="0.75" bottom="0.75" header="0.3" footer="0.3"/>
  <pageSetup orientation="portrait" paperSize="9" r:id="rId2"/>
  <ignoredErrors>
    <ignoredError sqref="L31 L33:L34 L35 L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unirc</cp:lastModifiedBy>
  <dcterms:created xsi:type="dcterms:W3CDTF">2016-11-16T08:43:27Z</dcterms:created>
  <dcterms:modified xsi:type="dcterms:W3CDTF">2017-06-04T19:59:56Z</dcterms:modified>
  <cp:category/>
  <cp:version/>
  <cp:contentType/>
  <cp:contentStatus/>
</cp:coreProperties>
</file>